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Feuil1!$A$1:$M$21</definedName>
  </definedNames>
  <calcPr calcId="145621"/>
</workbook>
</file>

<file path=xl/calcChain.xml><?xml version="1.0" encoding="utf-8"?>
<calcChain xmlns="http://schemas.openxmlformats.org/spreadsheetml/2006/main">
  <c r="B1" i="1" l="1"/>
  <c r="F14" i="1" l="1"/>
  <c r="F13" i="1"/>
  <c r="E9" i="1"/>
  <c r="E14" i="1"/>
  <c r="E13" i="1"/>
  <c r="E12" i="1"/>
  <c r="F11" i="1"/>
  <c r="E10" i="1"/>
  <c r="F8" i="1"/>
  <c r="E8" i="1"/>
  <c r="F7" i="1" l="1"/>
  <c r="E11" i="1" l="1"/>
  <c r="E7" i="1" l="1"/>
  <c r="D19" i="1" l="1"/>
  <c r="D14" i="1"/>
  <c r="G14" i="1" l="1"/>
  <c r="B2" i="1"/>
  <c r="H14" i="1" l="1"/>
  <c r="G7" i="1"/>
  <c r="I14" i="1" l="1"/>
  <c r="J14" i="1" s="1"/>
  <c r="G11" i="1"/>
  <c r="G13" i="1"/>
  <c r="H13" i="1" s="1"/>
  <c r="G12" i="1"/>
  <c r="G10" i="1"/>
  <c r="G9" i="1"/>
  <c r="G8" i="1"/>
  <c r="G16" i="1" l="1"/>
  <c r="H12" i="1"/>
  <c r="I13" i="1"/>
  <c r="J13" i="1" s="1"/>
  <c r="L13" i="1" s="1"/>
  <c r="M13" i="1" s="1"/>
  <c r="I12" i="1" l="1"/>
  <c r="J12" i="1" s="1"/>
  <c r="L14" i="1"/>
  <c r="M14" i="1" s="1"/>
  <c r="K12" i="1" l="1"/>
  <c r="H11" i="1" s="1"/>
  <c r="L12" i="1"/>
  <c r="M12" i="1" s="1"/>
  <c r="I11" i="1" l="1"/>
  <c r="J11" i="1" s="1"/>
  <c r="L11" i="1" s="1"/>
  <c r="M11" i="1" s="1"/>
  <c r="H10" i="1"/>
  <c r="H9" i="1" l="1"/>
  <c r="I10" i="1"/>
  <c r="J10" i="1" s="1"/>
  <c r="L10" i="1" s="1"/>
  <c r="M10" i="1" s="1"/>
  <c r="I9" i="1" l="1"/>
  <c r="J9" i="1" s="1"/>
  <c r="L9" i="1" s="1"/>
  <c r="H8" i="1"/>
  <c r="M9" i="1" l="1"/>
  <c r="L3" i="1"/>
  <c r="L2" i="1"/>
  <c r="I8" i="1"/>
  <c r="J8" i="1" s="1"/>
  <c r="H7" i="1"/>
  <c r="I7" i="1" l="1"/>
  <c r="J7" i="1" s="1"/>
  <c r="I21" i="1"/>
  <c r="L8" i="1" l="1"/>
  <c r="M8" i="1" s="1"/>
  <c r="M16" i="1" s="1"/>
  <c r="J16" i="1"/>
</calcChain>
</file>

<file path=xl/sharedStrings.xml><?xml version="1.0" encoding="utf-8"?>
<sst xmlns="http://schemas.openxmlformats.org/spreadsheetml/2006/main" count="64" uniqueCount="50">
  <si>
    <t>n° tube</t>
  </si>
  <si>
    <t>type</t>
  </si>
  <si>
    <t>fonction</t>
  </si>
  <si>
    <t>1R5</t>
  </si>
  <si>
    <t>1S5</t>
  </si>
  <si>
    <t>mélangeur</t>
  </si>
  <si>
    <t>ampli HF</t>
  </si>
  <si>
    <t>OL</t>
  </si>
  <si>
    <t>ampli MF n° 2</t>
  </si>
  <si>
    <t>ampli MF n° 1</t>
  </si>
  <si>
    <t>dét./préampli BF</t>
  </si>
  <si>
    <t>R // sur filament</t>
  </si>
  <si>
    <t>I_anode</t>
  </si>
  <si>
    <t>I_écran</t>
  </si>
  <si>
    <t>mA</t>
  </si>
  <si>
    <t>I_total</t>
  </si>
  <si>
    <t>BF</t>
  </si>
  <si>
    <t>kohms</t>
  </si>
  <si>
    <t>x</t>
  </si>
  <si>
    <t xml:space="preserve">vérif' </t>
  </si>
  <si>
    <t xml:space="preserve"> kohm</t>
  </si>
  <si>
    <t xml:space="preserve"> mA</t>
  </si>
  <si>
    <t>I_in</t>
  </si>
  <si>
    <t xml:space="preserve">a = </t>
  </si>
  <si>
    <t xml:space="preserve">b = </t>
  </si>
  <si>
    <t>V</t>
  </si>
  <si>
    <t xml:space="preserve"> V</t>
  </si>
  <si>
    <t xml:space="preserve">V+/0V = </t>
  </si>
  <si>
    <t>3Q4 (7+ à 5)</t>
  </si>
  <si>
    <t>3Q4 (5 à 1-)</t>
  </si>
  <si>
    <t>i_filament</t>
  </si>
  <si>
    <t>v_filament</t>
  </si>
  <si>
    <t>v_fil. tube</t>
  </si>
  <si>
    <t>v_fil. tube
- v_fil. nominal</t>
  </si>
  <si>
    <t>Conso</t>
  </si>
  <si>
    <t>+</t>
  </si>
  <si>
    <t>-</t>
  </si>
  <si>
    <t>Polar (V)</t>
  </si>
  <si>
    <t>versus (V)</t>
  </si>
  <si>
    <t xml:space="preserve">Conso ("+" ou "-") =&gt; </t>
  </si>
  <si>
    <r>
      <rPr>
        <b/>
        <sz val="11"/>
        <color theme="1"/>
        <rFont val="Calibri"/>
        <family val="2"/>
        <scheme val="minor"/>
      </rPr>
      <t xml:space="preserve">1T4 ou </t>
    </r>
    <r>
      <rPr>
        <sz val="11"/>
        <color theme="1"/>
        <rFont val="Calibri"/>
        <family val="2"/>
        <scheme val="minor"/>
      </rPr>
      <t>1U4</t>
    </r>
  </si>
  <si>
    <r>
      <rPr>
        <b/>
        <sz val="11"/>
        <color theme="1"/>
        <rFont val="Calibri"/>
        <family val="2"/>
        <scheme val="minor"/>
      </rPr>
      <t>1T4</t>
    </r>
    <r>
      <rPr>
        <sz val="11"/>
        <color theme="1"/>
        <rFont val="Calibri"/>
        <family val="2"/>
        <scheme val="minor"/>
      </rPr>
      <t xml:space="preserve"> ou 1U4</t>
    </r>
  </si>
  <si>
    <t>7 (R23)</t>
  </si>
  <si>
    <t>1 (R1)</t>
  </si>
  <si>
    <t>3 (R7)</t>
  </si>
  <si>
    <t>2 (R4)</t>
  </si>
  <si>
    <t>6 (R17)</t>
  </si>
  <si>
    <t>par le courant "x"</t>
  </si>
  <si>
    <t>R3 vers le 0 V, traversée</t>
  </si>
  <si>
    <t>I vers 0 V 
après V6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</si>
</sst>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tabSelected="1" workbookViewId="0">
      <selection activeCell="F2" sqref="F2"/>
    </sheetView>
  </sheetViews>
  <sheetFormatPr baseColWidth="10" defaultRowHeight="15" x14ac:dyDescent="0.25"/>
  <cols>
    <col min="1" max="1" width="8.85546875" style="22" bestFit="1" customWidth="1"/>
    <col min="2" max="2" width="15.5703125" style="22" bestFit="1" customWidth="1"/>
    <col min="3" max="3" width="16.140625" style="22" bestFit="1" customWidth="1"/>
    <col min="4" max="4" width="22.28515625" style="23" bestFit="1" customWidth="1"/>
    <col min="5" max="5" width="8.140625" style="22" bestFit="1" customWidth="1"/>
    <col min="6" max="6" width="7.42578125" style="22" bestFit="1" customWidth="1"/>
    <col min="7" max="7" width="6.7109375" style="22" bestFit="1" customWidth="1"/>
    <col min="8" max="8" width="5.5703125" style="22" bestFit="1" customWidth="1"/>
    <col min="9" max="9" width="10.140625" style="22" bestFit="1" customWidth="1"/>
    <col min="10" max="10" width="10.85546875" style="23" bestFit="1" customWidth="1"/>
    <col min="11" max="11" width="5.5703125" style="22" bestFit="1" customWidth="1"/>
    <col min="12" max="12" width="10" style="23" bestFit="1" customWidth="1"/>
    <col min="13" max="13" width="9.7109375" style="23" customWidth="1"/>
    <col min="14" max="16384" width="11.42578125" style="22"/>
  </cols>
  <sheetData>
    <row r="1" spans="1:16" ht="30" x14ac:dyDescent="0.25">
      <c r="A1" s="65" t="s">
        <v>49</v>
      </c>
      <c r="B1" s="24">
        <f>54.5</f>
        <v>54.5</v>
      </c>
      <c r="C1" s="25" t="s">
        <v>21</v>
      </c>
      <c r="G1" s="26"/>
      <c r="H1" s="26"/>
      <c r="I1" s="26"/>
      <c r="J1" s="27" t="s">
        <v>34</v>
      </c>
      <c r="K1" s="14"/>
      <c r="L1" s="27" t="s">
        <v>37</v>
      </c>
      <c r="M1" s="27" t="s">
        <v>38</v>
      </c>
    </row>
    <row r="2" spans="1:16" ht="15" customHeight="1" x14ac:dyDescent="0.25">
      <c r="A2" s="28" t="s">
        <v>23</v>
      </c>
      <c r="B2" s="29">
        <f>0.04</f>
        <v>0.04</v>
      </c>
      <c r="C2" s="61" t="s">
        <v>20</v>
      </c>
      <c r="E2" s="59" t="s">
        <v>39</v>
      </c>
      <c r="F2" s="60" t="s">
        <v>35</v>
      </c>
      <c r="J2" s="45" t="s">
        <v>35</v>
      </c>
      <c r="K2" s="4"/>
      <c r="L2" s="2">
        <f>-SUM(L9:L12)</f>
        <v>-5.3436968319908971</v>
      </c>
      <c r="M2" s="47">
        <v>-5.6</v>
      </c>
    </row>
    <row r="3" spans="1:16" ht="15" customHeight="1" x14ac:dyDescent="0.25">
      <c r="A3" s="30" t="s">
        <v>24</v>
      </c>
      <c r="B3" s="31">
        <v>-0.6</v>
      </c>
      <c r="C3" s="32" t="s">
        <v>26</v>
      </c>
      <c r="J3" s="46" t="s">
        <v>36</v>
      </c>
      <c r="K3" s="8"/>
      <c r="L3" s="7">
        <f>-SUM(L9:L13)</f>
        <v>-6.8183768319908973</v>
      </c>
      <c r="M3" s="48">
        <v>-7</v>
      </c>
    </row>
    <row r="4" spans="1:16" x14ac:dyDescent="0.25">
      <c r="A4" s="33"/>
      <c r="B4" s="29"/>
      <c r="C4" s="34"/>
    </row>
    <row r="5" spans="1:16" ht="60" x14ac:dyDescent="0.25">
      <c r="A5" s="15" t="s">
        <v>0</v>
      </c>
      <c r="B5" s="15" t="s">
        <v>1</v>
      </c>
      <c r="C5" s="15" t="s">
        <v>2</v>
      </c>
      <c r="D5" s="15" t="s">
        <v>11</v>
      </c>
      <c r="E5" s="15" t="s">
        <v>12</v>
      </c>
      <c r="F5" s="15" t="s">
        <v>13</v>
      </c>
      <c r="G5" s="15" t="s">
        <v>15</v>
      </c>
      <c r="H5" s="15" t="s">
        <v>22</v>
      </c>
      <c r="I5" s="18" t="s">
        <v>30</v>
      </c>
      <c r="J5" s="18" t="s">
        <v>31</v>
      </c>
      <c r="K5" s="15" t="s">
        <v>18</v>
      </c>
      <c r="L5" s="15" t="s">
        <v>32</v>
      </c>
      <c r="M5" s="16" t="s">
        <v>33</v>
      </c>
    </row>
    <row r="6" spans="1:16" x14ac:dyDescent="0.25">
      <c r="A6" s="17"/>
      <c r="B6" s="17"/>
      <c r="C6" s="17"/>
      <c r="D6" s="17" t="s">
        <v>17</v>
      </c>
      <c r="E6" s="17" t="s">
        <v>14</v>
      </c>
      <c r="F6" s="17" t="s">
        <v>14</v>
      </c>
      <c r="G6" s="17" t="s">
        <v>14</v>
      </c>
      <c r="H6" s="17" t="s">
        <v>14</v>
      </c>
      <c r="I6" s="19" t="s">
        <v>14</v>
      </c>
      <c r="J6" s="19"/>
      <c r="K6" s="17" t="s">
        <v>14</v>
      </c>
      <c r="L6" s="17" t="s">
        <v>25</v>
      </c>
      <c r="M6" s="17" t="s">
        <v>25</v>
      </c>
    </row>
    <row r="7" spans="1:16" x14ac:dyDescent="0.25">
      <c r="A7" s="10">
        <v>7</v>
      </c>
      <c r="B7" s="10" t="s">
        <v>28</v>
      </c>
      <c r="C7" s="10" t="s">
        <v>16</v>
      </c>
      <c r="D7" s="11"/>
      <c r="E7" s="50">
        <f>IF($F$2="+",5.25/2,IF($F$2="-",3.67/2,"?"))</f>
        <v>2.625</v>
      </c>
      <c r="F7" s="50">
        <f>IF($F$2="+",1.3/2,IF($F$2="-",0.9/2,"?"))</f>
        <v>0.65</v>
      </c>
      <c r="G7" s="12">
        <f>E7+F7</f>
        <v>3.2749999999999999</v>
      </c>
      <c r="H7" s="13">
        <f>H8-G7</f>
        <v>51.677196157975395</v>
      </c>
      <c r="I7" s="13">
        <f>H7</f>
        <v>51.677196157975395</v>
      </c>
      <c r="J7" s="13">
        <f t="shared" ref="J7:J13" si="0">$B$2*I7+$B$3</f>
        <v>1.4670878463190156</v>
      </c>
      <c r="K7" s="14"/>
      <c r="L7" s="10"/>
      <c r="M7" s="10"/>
    </row>
    <row r="8" spans="1:16" x14ac:dyDescent="0.25">
      <c r="A8" s="1" t="s">
        <v>42</v>
      </c>
      <c r="B8" s="1" t="s">
        <v>29</v>
      </c>
      <c r="C8" s="1" t="s">
        <v>16</v>
      </c>
      <c r="D8" s="67">
        <v>0.251</v>
      </c>
      <c r="E8" s="49">
        <f>IF($F$2="+",5.25/2,IF($F$2="-",3.67/2,"?"))</f>
        <v>2.625</v>
      </c>
      <c r="F8" s="49">
        <f>IF($F$2="+",1.3/2,IF($F$2="-",0.9/2,"?"))</f>
        <v>0.65</v>
      </c>
      <c r="G8" s="2">
        <f>E8+F8</f>
        <v>3.2749999999999999</v>
      </c>
      <c r="H8" s="2">
        <f>H9-G8</f>
        <v>54.952196157975393</v>
      </c>
      <c r="I8" s="3">
        <f t="shared" ref="I8:I10" si="1">(D8*H8-$B$3)/(D8+$B$2)</f>
        <v>49.46048534588256</v>
      </c>
      <c r="J8" s="3">
        <f t="shared" si="0"/>
        <v>1.3784194138353025</v>
      </c>
      <c r="K8" s="4"/>
      <c r="L8" s="2">
        <f>J7+J8</f>
        <v>2.8455072601543181</v>
      </c>
      <c r="M8" s="5">
        <f>L8-2*1.4</f>
        <v>4.5507260154318274E-2</v>
      </c>
      <c r="N8" s="35"/>
      <c r="O8" s="35"/>
      <c r="P8" s="36"/>
    </row>
    <row r="9" spans="1:16" x14ac:dyDescent="0.25">
      <c r="A9" s="1" t="s">
        <v>43</v>
      </c>
      <c r="B9" s="1" t="s">
        <v>40</v>
      </c>
      <c r="C9" s="1" t="s">
        <v>6</v>
      </c>
      <c r="D9" s="67">
        <v>0.105</v>
      </c>
      <c r="E9" s="49">
        <f>IF($F$2="+",1.73,IF($F$2="-",1.77,"?"))</f>
        <v>1.73</v>
      </c>
      <c r="F9" s="49">
        <v>0.97</v>
      </c>
      <c r="G9" s="2">
        <f t="shared" ref="G9:G14" si="2">E9+F9</f>
        <v>2.7</v>
      </c>
      <c r="H9" s="2">
        <f>H10-G9</f>
        <v>58.227196157975392</v>
      </c>
      <c r="I9" s="3">
        <f t="shared" si="1"/>
        <v>46.30245239025804</v>
      </c>
      <c r="J9" s="3">
        <f t="shared" si="0"/>
        <v>1.2520980956103216</v>
      </c>
      <c r="K9" s="4"/>
      <c r="L9" s="2">
        <f>J9</f>
        <v>1.2520980956103216</v>
      </c>
      <c r="M9" s="5">
        <f>L9-1.4</f>
        <v>-0.14790190438967832</v>
      </c>
      <c r="O9" s="35"/>
      <c r="P9" s="36"/>
    </row>
    <row r="10" spans="1:16" x14ac:dyDescent="0.25">
      <c r="A10" s="1" t="s">
        <v>44</v>
      </c>
      <c r="B10" s="1" t="s">
        <v>40</v>
      </c>
      <c r="C10" s="1" t="s">
        <v>7</v>
      </c>
      <c r="D10" s="67">
        <v>0.11799999999999999</v>
      </c>
      <c r="E10" s="49">
        <f>IF($F$2="+",1.725,IF($F$2="-",1.763,"?"))</f>
        <v>1.7250000000000001</v>
      </c>
      <c r="F10" s="49"/>
      <c r="G10" s="2">
        <f t="shared" si="2"/>
        <v>1.7250000000000001</v>
      </c>
      <c r="H10" s="2">
        <f>H11-G10</f>
        <v>60.927196157975395</v>
      </c>
      <c r="I10" s="3">
        <f t="shared" si="1"/>
        <v>49.300057890133516</v>
      </c>
      <c r="J10" s="3">
        <f t="shared" si="0"/>
        <v>1.3720023156053407</v>
      </c>
      <c r="K10" s="4"/>
      <c r="L10" s="2">
        <f t="shared" ref="L10:L14" si="3">J10</f>
        <v>1.3720023156053407</v>
      </c>
      <c r="M10" s="5">
        <f t="shared" ref="M10:M14" si="4">L10-1.4</f>
        <v>-2.7997684394659217E-2</v>
      </c>
      <c r="O10" s="35"/>
      <c r="P10" s="36"/>
    </row>
    <row r="11" spans="1:16" x14ac:dyDescent="0.25">
      <c r="A11" s="1" t="s">
        <v>45</v>
      </c>
      <c r="B11" s="1" t="s">
        <v>3</v>
      </c>
      <c r="C11" s="1" t="s">
        <v>5</v>
      </c>
      <c r="D11" s="67">
        <v>0.10299999999999999</v>
      </c>
      <c r="E11" s="49">
        <f>1</f>
        <v>1</v>
      </c>
      <c r="F11" s="49">
        <f>IF($F$2="+",0.97,IF($F$2="-",0.98,"?"))</f>
        <v>0.97</v>
      </c>
      <c r="G11" s="2">
        <f t="shared" si="2"/>
        <v>1.97</v>
      </c>
      <c r="H11" s="2">
        <f>H12+$K$12-G11</f>
        <v>62.652196157975396</v>
      </c>
      <c r="I11" s="3">
        <f>(D11*H11-$B$3)/(D11+$B$2)</f>
        <v>49.322910519380876</v>
      </c>
      <c r="J11" s="3">
        <f t="shared" si="0"/>
        <v>1.3729164207752351</v>
      </c>
      <c r="K11" s="4"/>
      <c r="L11" s="2">
        <f t="shared" si="3"/>
        <v>1.3729164207752351</v>
      </c>
      <c r="M11" s="5">
        <f t="shared" si="4"/>
        <v>-2.7083579224764787E-2</v>
      </c>
      <c r="O11" s="35"/>
      <c r="P11" s="36"/>
    </row>
    <row r="12" spans="1:16" x14ac:dyDescent="0.25">
      <c r="A12" s="1">
        <v>5</v>
      </c>
      <c r="B12" s="1" t="s">
        <v>41</v>
      </c>
      <c r="C12" s="1" t="s">
        <v>8</v>
      </c>
      <c r="D12" s="68"/>
      <c r="E12" s="49">
        <f>IF($F$2="+",2.2,IF($F$2="-",2.3,"?"))</f>
        <v>2.2000000000000002</v>
      </c>
      <c r="F12" s="49">
        <v>1</v>
      </c>
      <c r="G12" s="2">
        <f t="shared" si="2"/>
        <v>3.2</v>
      </c>
      <c r="H12" s="2">
        <f>H13-G12</f>
        <v>48.667000000000002</v>
      </c>
      <c r="I12" s="3">
        <f>H12</f>
        <v>48.667000000000002</v>
      </c>
      <c r="J12" s="3">
        <f t="shared" si="0"/>
        <v>1.3466800000000001</v>
      </c>
      <c r="K12" s="2">
        <f>(J12+J13+J14)/$D$19</f>
        <v>15.955196157975397</v>
      </c>
      <c r="L12" s="2">
        <f t="shared" si="3"/>
        <v>1.3466800000000001</v>
      </c>
      <c r="M12" s="5">
        <f t="shared" si="4"/>
        <v>-5.3319999999999812E-2</v>
      </c>
      <c r="O12" s="35"/>
      <c r="P12" s="36"/>
    </row>
    <row r="13" spans="1:16" x14ac:dyDescent="0.25">
      <c r="A13" s="1">
        <v>4</v>
      </c>
      <c r="B13" s="1" t="s">
        <v>41</v>
      </c>
      <c r="C13" s="1" t="s">
        <v>9</v>
      </c>
      <c r="D13" s="68"/>
      <c r="E13" s="49">
        <f>IF($F$2="+",1.84,IF($F$2="-",1.91,"?"))</f>
        <v>1.84</v>
      </c>
      <c r="F13" s="49">
        <f>IF($F$2="+",0.71,IF($F$2="-",0.76,"?"))</f>
        <v>0.71</v>
      </c>
      <c r="G13" s="2">
        <f t="shared" si="2"/>
        <v>2.5499999999999998</v>
      </c>
      <c r="H13" s="2">
        <f>H14-G13</f>
        <v>51.867000000000004</v>
      </c>
      <c r="I13" s="3">
        <f>H13</f>
        <v>51.867000000000004</v>
      </c>
      <c r="J13" s="3">
        <f t="shared" si="0"/>
        <v>1.4746800000000002</v>
      </c>
      <c r="K13" s="4"/>
      <c r="L13" s="2">
        <f t="shared" si="3"/>
        <v>1.4746800000000002</v>
      </c>
      <c r="M13" s="5">
        <f t="shared" si="4"/>
        <v>7.4680000000000302E-2</v>
      </c>
      <c r="O13" s="35"/>
      <c r="P13" s="36"/>
    </row>
    <row r="14" spans="1:16" x14ac:dyDescent="0.25">
      <c r="A14" s="6" t="s">
        <v>46</v>
      </c>
      <c r="B14" s="6" t="s">
        <v>4</v>
      </c>
      <c r="C14" s="6" t="s">
        <v>10</v>
      </c>
      <c r="D14" s="69">
        <f>0.417</f>
        <v>0.41699999999999998</v>
      </c>
      <c r="E14" s="21">
        <f>IF($F$2="+",67/1000,IF($F$2="-",69/1000,"?"))</f>
        <v>6.7000000000000004E-2</v>
      </c>
      <c r="F14" s="21">
        <f>16/1000</f>
        <v>1.6E-2</v>
      </c>
      <c r="G14" s="7">
        <f t="shared" si="2"/>
        <v>8.3000000000000004E-2</v>
      </c>
      <c r="H14" s="7">
        <f>$B$1-G14</f>
        <v>54.417000000000002</v>
      </c>
      <c r="I14" s="20">
        <f>(D14*H14-$B$3)/(D14+$B$2)</f>
        <v>50.966934354485787</v>
      </c>
      <c r="J14" s="20">
        <f>$B$2*I14+$B$3</f>
        <v>1.4386773741794312</v>
      </c>
      <c r="K14" s="8"/>
      <c r="L14" s="7">
        <f t="shared" si="3"/>
        <v>1.4386773741794312</v>
      </c>
      <c r="M14" s="9">
        <f t="shared" si="4"/>
        <v>3.867737417943129E-2</v>
      </c>
      <c r="O14" s="35"/>
      <c r="P14" s="36"/>
    </row>
    <row r="16" spans="1:16" x14ac:dyDescent="0.25">
      <c r="D16" s="15" t="s">
        <v>48</v>
      </c>
      <c r="G16" s="63">
        <f>SUM(G7:G14)</f>
        <v>18.777999999999999</v>
      </c>
      <c r="I16" s="37" t="s">
        <v>27</v>
      </c>
      <c r="J16" s="38">
        <f>SUM(J7:J14)</f>
        <v>11.102561466324644</v>
      </c>
      <c r="K16" s="39" t="s">
        <v>26</v>
      </c>
      <c r="M16" s="62">
        <f>SUM(M8:M14)</f>
        <v>-9.7438533675352268E-2</v>
      </c>
    </row>
    <row r="17" spans="1:10" x14ac:dyDescent="0.25">
      <c r="D17" s="40" t="s">
        <v>47</v>
      </c>
      <c r="G17" s="64" t="s">
        <v>14</v>
      </c>
    </row>
    <row r="18" spans="1:10" x14ac:dyDescent="0.25">
      <c r="D18" s="41" t="s">
        <v>17</v>
      </c>
    </row>
    <row r="19" spans="1:10" x14ac:dyDescent="0.25">
      <c r="D19" s="70">
        <f>0.22+0.047</f>
        <v>0.26700000000000002</v>
      </c>
    </row>
    <row r="20" spans="1:10" x14ac:dyDescent="0.25">
      <c r="D20" s="66"/>
    </row>
    <row r="21" spans="1:10" x14ac:dyDescent="0.25">
      <c r="G21" s="42" t="s">
        <v>19</v>
      </c>
      <c r="H21" s="42"/>
      <c r="I21" s="43">
        <f>H7+SUM(G7:G14)-K12</f>
        <v>54.5</v>
      </c>
      <c r="J21" s="44" t="s">
        <v>21</v>
      </c>
    </row>
    <row r="22" spans="1:10" x14ac:dyDescent="0.25">
      <c r="A22" s="55"/>
      <c r="B22" s="56"/>
      <c r="D22" s="56"/>
      <c r="E22" s="56"/>
      <c r="F22" s="52"/>
      <c r="G22" s="51"/>
      <c r="H22" s="52"/>
    </row>
    <row r="23" spans="1:10" x14ac:dyDescent="0.25">
      <c r="A23" s="55"/>
      <c r="B23" s="57"/>
      <c r="D23" s="57"/>
      <c r="E23" s="57"/>
      <c r="G23" s="51"/>
      <c r="H23" s="52"/>
      <c r="I23" s="52"/>
    </row>
    <row r="24" spans="1:10" x14ac:dyDescent="0.25">
      <c r="A24" s="52"/>
      <c r="B24" s="53"/>
      <c r="D24" s="53"/>
      <c r="E24" s="53"/>
      <c r="F24" s="52"/>
      <c r="G24" s="51"/>
      <c r="I24" s="52"/>
      <c r="J24" s="26"/>
    </row>
    <row r="25" spans="1:10" x14ac:dyDescent="0.25">
      <c r="A25" s="52"/>
      <c r="B25" s="54"/>
      <c r="D25" s="54"/>
      <c r="E25" s="54"/>
      <c r="G25" s="51"/>
      <c r="I25" s="52"/>
    </row>
    <row r="26" spans="1:10" x14ac:dyDescent="0.25">
      <c r="D26" s="22"/>
      <c r="F26" s="52"/>
      <c r="G26" s="51"/>
      <c r="H26" s="52"/>
      <c r="I26" s="52"/>
    </row>
    <row r="27" spans="1:10" x14ac:dyDescent="0.25">
      <c r="A27" s="58"/>
      <c r="B27" s="56"/>
      <c r="D27" s="56"/>
      <c r="E27" s="56"/>
      <c r="G27" s="51"/>
      <c r="I27" s="52"/>
    </row>
    <row r="28" spans="1:10" x14ac:dyDescent="0.25">
      <c r="A28" s="58"/>
      <c r="B28" s="56"/>
      <c r="D28" s="56"/>
      <c r="E28" s="56"/>
      <c r="F28" s="52"/>
      <c r="G28" s="51"/>
      <c r="I28" s="52"/>
    </row>
    <row r="29" spans="1:10" x14ac:dyDescent="0.25">
      <c r="A29" s="58"/>
      <c r="B29" s="57"/>
      <c r="D29" s="57"/>
      <c r="E29" s="57"/>
      <c r="G29" s="51"/>
      <c r="I29" s="52"/>
    </row>
    <row r="30" spans="1:10" x14ac:dyDescent="0.25">
      <c r="D30" s="22"/>
      <c r="F30" s="52"/>
      <c r="G30" s="51"/>
      <c r="I30" s="52"/>
    </row>
    <row r="31" spans="1:10" x14ac:dyDescent="0.25">
      <c r="A31" s="58"/>
      <c r="B31" s="57"/>
      <c r="D31" s="57"/>
      <c r="E31" s="57"/>
      <c r="G31" s="51"/>
      <c r="I31" s="52"/>
    </row>
    <row r="32" spans="1:10" x14ac:dyDescent="0.25">
      <c r="A32" s="58"/>
      <c r="B32" s="57"/>
      <c r="D32" s="57"/>
      <c r="E32" s="57"/>
      <c r="F32" s="52"/>
      <c r="G32" s="51"/>
      <c r="I32" s="52"/>
    </row>
    <row r="33" spans="1:9" x14ac:dyDescent="0.25">
      <c r="A33" s="58"/>
      <c r="B33" s="57"/>
      <c r="D33" s="57"/>
      <c r="E33" s="57"/>
      <c r="G33" s="51"/>
      <c r="I33" s="52"/>
    </row>
    <row r="34" spans="1:9" x14ac:dyDescent="0.25">
      <c r="A34" s="52"/>
      <c r="B34" s="53"/>
      <c r="D34" s="53"/>
      <c r="E34" s="53"/>
      <c r="F34" s="52"/>
      <c r="G34" s="51"/>
      <c r="I34" s="52"/>
    </row>
    <row r="35" spans="1:9" x14ac:dyDescent="0.25">
      <c r="A35" s="52"/>
      <c r="B35" s="54"/>
      <c r="D35" s="54"/>
      <c r="E35" s="54"/>
      <c r="G35" s="51"/>
      <c r="I35" s="52"/>
    </row>
    <row r="36" spans="1:9" x14ac:dyDescent="0.25">
      <c r="F36" s="52"/>
      <c r="G36" s="51"/>
      <c r="I36" s="52"/>
    </row>
  </sheetData>
  <pageMargins left="0.51181102362204722" right="0.51181102362204722" top="0.74803149606299213" bottom="0.74803149606299213" header="0.31496062992125984" footer="0.31496062992125984"/>
  <pageSetup paperSize="9" scale="9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F5FOD</dc:creator>
  <cp:lastModifiedBy>F5FOD</cp:lastModifiedBy>
  <cp:lastPrinted>2018-04-27T15:11:16Z</cp:lastPrinted>
  <dcterms:created xsi:type="dcterms:W3CDTF">2018-02-19T18:34:13Z</dcterms:created>
  <dcterms:modified xsi:type="dcterms:W3CDTF">2018-04-27T15:25:14Z</dcterms:modified>
</cp:coreProperties>
</file>